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lignemen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PG</author>
  </authors>
  <commentList>
    <comment ref="G15" authorId="0">
      <text>
        <r>
          <rPr>
            <b/>
            <sz val="8"/>
            <rFont val="Tahoma"/>
            <family val="0"/>
          </rPr>
          <t>rapport (Fmax/Fmin)²</t>
        </r>
      </text>
    </comment>
    <comment ref="G3" authorId="0">
      <text>
        <r>
          <rPr>
            <b/>
            <sz val="8"/>
            <rFont val="Tahoma"/>
            <family val="0"/>
          </rPr>
          <t>C1</t>
        </r>
      </text>
    </comment>
    <comment ref="G4" authorId="0">
      <text>
        <r>
          <rPr>
            <b/>
            <sz val="8"/>
            <rFont val="Tahoma"/>
            <family val="0"/>
          </rPr>
          <t>C2</t>
        </r>
      </text>
    </comment>
    <comment ref="G5" authorId="0">
      <text>
        <r>
          <rPr>
            <b/>
            <sz val="8"/>
            <rFont val="Tahoma"/>
            <family val="0"/>
          </rPr>
          <t>C3</t>
        </r>
      </text>
    </comment>
    <comment ref="G6" authorId="0">
      <text>
        <r>
          <rPr>
            <b/>
            <sz val="8"/>
            <rFont val="Tahoma"/>
            <family val="0"/>
          </rPr>
          <t>t1</t>
        </r>
      </text>
    </comment>
    <comment ref="G7" authorId="0">
      <text>
        <r>
          <rPr>
            <b/>
            <sz val="8"/>
            <rFont val="Tahoma"/>
            <family val="0"/>
          </rPr>
          <t>t2</t>
        </r>
      </text>
    </comment>
    <comment ref="G9" authorId="0">
      <text>
        <r>
          <rPr>
            <b/>
            <sz val="8"/>
            <rFont val="Tahoma"/>
            <family val="0"/>
          </rPr>
          <t>M</t>
        </r>
      </text>
    </comment>
    <comment ref="G10" authorId="0">
      <text>
        <r>
          <rPr>
            <b/>
            <sz val="8"/>
            <rFont val="Tahoma"/>
            <family val="0"/>
          </rPr>
          <t>N</t>
        </r>
      </text>
    </comment>
    <comment ref="G11" authorId="0">
      <text>
        <r>
          <rPr>
            <b/>
            <sz val="8"/>
            <rFont val="Tahoma"/>
            <family val="0"/>
          </rPr>
          <t>Q</t>
        </r>
      </text>
    </comment>
    <comment ref="G8" authorId="0">
      <text>
        <r>
          <rPr>
            <b/>
            <sz val="8"/>
            <rFont val="Tahoma"/>
            <family val="0"/>
          </rPr>
          <t>t2</t>
        </r>
      </text>
    </comment>
    <comment ref="G12" authorId="0">
      <text>
        <r>
          <rPr>
            <b/>
            <sz val="8"/>
            <rFont val="Tahoma"/>
            <family val="0"/>
          </rPr>
          <t>A</t>
        </r>
      </text>
    </comment>
    <comment ref="G13" authorId="0">
      <text>
        <r>
          <rPr>
            <b/>
            <sz val="8"/>
            <rFont val="Tahoma"/>
            <family val="0"/>
          </rPr>
          <t>B</t>
        </r>
      </text>
    </comment>
    <comment ref="G14" authorId="0">
      <text>
        <r>
          <rPr>
            <b/>
            <sz val="8"/>
            <rFont val="Tahoma"/>
            <family val="0"/>
          </rPr>
          <t>C</t>
        </r>
      </text>
    </comment>
    <comment ref="D4" authorId="0">
      <text>
        <r>
          <rPr>
            <b/>
            <sz val="8"/>
            <rFont val="Tahoma"/>
            <family val="0"/>
          </rPr>
          <t>1</t>
        </r>
      </text>
    </comment>
    <comment ref="D6" authorId="0">
      <text>
        <r>
          <rPr>
            <b/>
            <sz val="8"/>
            <rFont val="Tahoma"/>
            <family val="0"/>
          </rPr>
          <t>2</t>
        </r>
      </text>
    </comment>
    <comment ref="D7" authorId="0">
      <text>
        <r>
          <rPr>
            <b/>
            <sz val="8"/>
            <rFont val="Tahoma"/>
            <family val="0"/>
          </rPr>
          <t>3</t>
        </r>
      </text>
    </comment>
    <comment ref="T4" authorId="0">
      <text>
        <r>
          <rPr>
            <b/>
            <sz val="8"/>
            <rFont val="Tahoma"/>
            <family val="0"/>
          </rPr>
          <t>4</t>
        </r>
      </text>
    </comment>
    <comment ref="T24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<sst xmlns="http://schemas.openxmlformats.org/spreadsheetml/2006/main" count="144" uniqueCount="30">
  <si>
    <t>Fréquence</t>
  </si>
  <si>
    <t>CV</t>
  </si>
  <si>
    <t>Facc</t>
  </si>
  <si>
    <t>Cosc</t>
  </si>
  <si>
    <t>Fosc</t>
  </si>
  <si>
    <t>écart</t>
  </si>
  <si>
    <t>intermédiaire</t>
  </si>
  <si>
    <t>KHz</t>
  </si>
  <si>
    <t>pF</t>
  </si>
  <si>
    <t>sélecteur</t>
  </si>
  <si>
    <t>d'entrée</t>
  </si>
  <si>
    <t>bobine</t>
  </si>
  <si>
    <t>L=</t>
  </si>
  <si>
    <t>uH</t>
  </si>
  <si>
    <t>trimmer</t>
  </si>
  <si>
    <t>oscillateur</t>
  </si>
  <si>
    <t>padding</t>
  </si>
  <si>
    <t>Cp=</t>
  </si>
  <si>
    <t>Ct(+Co)=</t>
  </si>
  <si>
    <t>CV max</t>
  </si>
  <si>
    <t>résiduelle</t>
  </si>
  <si>
    <t>Ct acc</t>
  </si>
  <si>
    <t>L osc</t>
  </si>
  <si>
    <t>L acc</t>
  </si>
  <si>
    <t>Ct osc</t>
  </si>
  <si>
    <t xml:space="preserve">Cp osc </t>
  </si>
  <si>
    <t>FI</t>
  </si>
  <si>
    <t>Ceq acc</t>
  </si>
  <si>
    <t>m</t>
  </si>
  <si>
    <t>bande des: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</si>
</sst>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0E+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left"/>
    </xf>
    <xf numFmtId="0" fontId="0" fillId="0" borderId="0" xfId="0" applyBorder="1" applyAlignment="1">
      <alignment/>
    </xf>
    <xf numFmtId="1" fontId="0" fillId="3" borderId="6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right"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 horizontal="right"/>
    </xf>
    <xf numFmtId="0" fontId="0" fillId="4" borderId="5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4" borderId="9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0" borderId="9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" fontId="0" fillId="0" borderId="0" xfId="0" applyNumberFormat="1" applyFill="1" applyBorder="1" applyAlignment="1">
      <alignment horizontal="right"/>
    </xf>
    <xf numFmtId="1" fontId="0" fillId="0" borderId="18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right"/>
    </xf>
    <xf numFmtId="0" fontId="0" fillId="6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" fontId="0" fillId="6" borderId="0" xfId="0" applyNumberFormat="1" applyFill="1" applyBorder="1" applyAlignment="1">
      <alignment horizontal="right"/>
    </xf>
    <xf numFmtId="1" fontId="0" fillId="2" borderId="11" xfId="0" applyNumberForma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7" borderId="20" xfId="0" applyFill="1" applyBorder="1" applyAlignment="1">
      <alignment/>
    </xf>
    <xf numFmtId="1" fontId="0" fillId="0" borderId="19" xfId="0" applyNumberFormat="1" applyBorder="1" applyAlignment="1">
      <alignment horizontal="center"/>
    </xf>
    <xf numFmtId="1" fontId="1" fillId="7" borderId="2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2" xfId="0" applyNumberFormat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1" fillId="3" borderId="10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>
      <alignment horizontal="right"/>
    </xf>
    <xf numFmtId="2" fontId="1" fillId="4" borderId="10" xfId="0" applyNumberFormat="1" applyFont="1" applyFill="1" applyBorder="1" applyAlignment="1">
      <alignment horizontal="right"/>
    </xf>
    <xf numFmtId="2" fontId="1" fillId="4" borderId="12" xfId="0" applyNumberFormat="1" applyFont="1" applyFill="1" applyBorder="1" applyAlignment="1">
      <alignment horizontal="right"/>
    </xf>
    <xf numFmtId="2" fontId="0" fillId="4" borderId="10" xfId="0" applyNumberFormat="1" applyFill="1" applyBorder="1" applyAlignment="1">
      <alignment horizontal="right"/>
    </xf>
    <xf numFmtId="2" fontId="0" fillId="4" borderId="12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2" fontId="1" fillId="5" borderId="10" xfId="0" applyNumberFormat="1" applyFont="1" applyFill="1" applyBorder="1" applyAlignment="1">
      <alignment horizontal="right"/>
    </xf>
    <xf numFmtId="2" fontId="0" fillId="5" borderId="10" xfId="0" applyNumberFormat="1" applyFill="1" applyBorder="1" applyAlignment="1">
      <alignment horizontal="right"/>
    </xf>
    <xf numFmtId="2" fontId="0" fillId="5" borderId="14" xfId="0" applyNumberFormat="1" applyFill="1" applyBorder="1" applyAlignment="1">
      <alignment horizontal="right"/>
    </xf>
    <xf numFmtId="2" fontId="0" fillId="5" borderId="12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64" fontId="1" fillId="5" borderId="19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 horizontal="right"/>
    </xf>
    <xf numFmtId="165" fontId="0" fillId="0" borderId="16" xfId="0" applyNumberFormat="1" applyBorder="1" applyAlignment="1">
      <alignment/>
    </xf>
    <xf numFmtId="0" fontId="0" fillId="6" borderId="0" xfId="0" applyFill="1" applyBorder="1" applyAlignment="1">
      <alignment/>
    </xf>
    <xf numFmtId="164" fontId="1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2" fontId="0" fillId="8" borderId="6" xfId="0" applyNumberFormat="1" applyFill="1" applyBorder="1" applyAlignment="1">
      <alignment horizontal="right"/>
    </xf>
    <xf numFmtId="164" fontId="1" fillId="8" borderId="18" xfId="0" applyNumberFormat="1" applyFont="1" applyFill="1" applyBorder="1" applyAlignment="1">
      <alignment horizontal="center"/>
    </xf>
    <xf numFmtId="0" fontId="0" fillId="8" borderId="7" xfId="0" applyFill="1" applyBorder="1" applyAlignment="1">
      <alignment horizontal="left"/>
    </xf>
    <xf numFmtId="1" fontId="0" fillId="8" borderId="6" xfId="0" applyNumberFormat="1" applyFill="1" applyBorder="1" applyAlignment="1">
      <alignment horizontal="center"/>
    </xf>
    <xf numFmtId="0" fontId="0" fillId="8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25"/>
  <sheetViews>
    <sheetView tabSelected="1" workbookViewId="0" topLeftCell="A1">
      <selection activeCell="S25" sqref="S25"/>
    </sheetView>
  </sheetViews>
  <sheetFormatPr defaultColWidth="11.421875" defaultRowHeight="12.75"/>
  <cols>
    <col min="2" max="2" width="1.7109375" style="0" customWidth="1"/>
    <col min="3" max="3" width="13.00390625" style="89" customWidth="1"/>
    <col min="4" max="4" width="7.28125" style="3" customWidth="1"/>
    <col min="5" max="5" width="4.00390625" style="2" customWidth="1"/>
    <col min="6" max="6" width="2.421875" style="0" customWidth="1"/>
    <col min="7" max="7" width="12.421875" style="107" hidden="1" customWidth="1"/>
    <col min="8" max="14" width="5.28125" style="0" hidden="1" customWidth="1"/>
    <col min="15" max="15" width="2.7109375" style="0" customWidth="1"/>
    <col min="16" max="16" width="4.00390625" style="3" customWidth="1"/>
    <col min="17" max="17" width="3.28125" style="4" customWidth="1"/>
    <col min="18" max="18" width="7.140625" style="4" hidden="1" customWidth="1"/>
    <col min="19" max="19" width="5.00390625" style="3" customWidth="1"/>
    <col min="20" max="20" width="4.421875" style="0" customWidth="1"/>
    <col min="21" max="21" width="5.00390625" style="3" customWidth="1"/>
    <col min="22" max="22" width="2.7109375" style="0" customWidth="1"/>
    <col min="23" max="23" width="5.00390625" style="1" customWidth="1"/>
    <col min="24" max="24" width="4.28125" style="0" customWidth="1"/>
    <col min="25" max="25" width="4.8515625" style="54" customWidth="1"/>
    <col min="26" max="26" width="4.28125" style="0" customWidth="1"/>
    <col min="27" max="27" width="1.57421875" style="0" customWidth="1"/>
  </cols>
  <sheetData>
    <row r="1" ht="11.25" customHeight="1" thickBot="1"/>
    <row r="2" spans="2:27" ht="5.25" customHeight="1">
      <c r="B2" s="5"/>
      <c r="C2" s="90"/>
      <c r="D2" s="9"/>
      <c r="E2" s="7"/>
      <c r="F2" s="8"/>
      <c r="G2" s="108"/>
      <c r="H2" s="8"/>
      <c r="I2" s="8"/>
      <c r="J2" s="8"/>
      <c r="K2" s="8"/>
      <c r="L2" s="8"/>
      <c r="M2" s="8"/>
      <c r="N2" s="8"/>
      <c r="O2" s="8"/>
      <c r="P2" s="9"/>
      <c r="Q2" s="10"/>
      <c r="R2" s="10"/>
      <c r="S2" s="9"/>
      <c r="T2" s="8"/>
      <c r="U2" s="9"/>
      <c r="V2" s="8"/>
      <c r="W2" s="6"/>
      <c r="X2" s="8"/>
      <c r="Y2" s="55"/>
      <c r="Z2" s="8"/>
      <c r="AA2" s="11"/>
    </row>
    <row r="3" spans="2:27" ht="13.5" thickBot="1">
      <c r="B3" s="12"/>
      <c r="C3" s="91" t="s">
        <v>0</v>
      </c>
      <c r="D3" s="70"/>
      <c r="E3" s="13"/>
      <c r="F3" s="14"/>
      <c r="G3" s="109">
        <f>P6</f>
        <v>34.548037341316174</v>
      </c>
      <c r="H3" s="14" t="s">
        <v>23</v>
      </c>
      <c r="I3" s="14" t="s">
        <v>21</v>
      </c>
      <c r="J3" s="14" t="s">
        <v>22</v>
      </c>
      <c r="K3" s="14" t="s">
        <v>24</v>
      </c>
      <c r="L3" s="14" t="s">
        <v>25</v>
      </c>
      <c r="M3" s="14" t="s">
        <v>26</v>
      </c>
      <c r="N3" s="14"/>
      <c r="O3" s="14"/>
      <c r="P3" s="15" t="s">
        <v>1</v>
      </c>
      <c r="Q3" s="16"/>
      <c r="R3" s="50" t="s">
        <v>27</v>
      </c>
      <c r="S3" s="84" t="s">
        <v>2</v>
      </c>
      <c r="T3" s="85"/>
      <c r="U3" s="15" t="s">
        <v>3</v>
      </c>
      <c r="V3" s="17"/>
      <c r="W3" s="18" t="s">
        <v>4</v>
      </c>
      <c r="X3" s="17"/>
      <c r="Y3" s="56" t="s">
        <v>5</v>
      </c>
      <c r="Z3" s="17"/>
      <c r="AA3" s="19"/>
    </row>
    <row r="4" spans="2:27" ht="13.5" thickBot="1">
      <c r="B4" s="12"/>
      <c r="C4" s="92" t="s">
        <v>6</v>
      </c>
      <c r="D4" s="71">
        <v>455</v>
      </c>
      <c r="E4" s="20" t="s">
        <v>7</v>
      </c>
      <c r="F4" s="14"/>
      <c r="G4" s="109">
        <f>P14</f>
        <v>125.99603168354156</v>
      </c>
      <c r="H4" s="21">
        <f>D12</f>
        <v>2422.284728299095</v>
      </c>
      <c r="I4" s="22">
        <f>D14</f>
        <v>91.19047619047619</v>
      </c>
      <c r="J4" s="22">
        <f>D20</f>
        <v>514.3123060463664</v>
      </c>
      <c r="K4" s="22">
        <f>D22</f>
        <v>139.10242767246794</v>
      </c>
      <c r="L4" s="22">
        <f>D24</f>
        <v>182.93774087351377</v>
      </c>
      <c r="M4" s="23">
        <f>D4</f>
        <v>455</v>
      </c>
      <c r="N4" s="14">
        <f>POWER((D6/D7),1/20)</f>
        <v>1.175551569967327</v>
      </c>
      <c r="O4" s="14"/>
      <c r="P4" s="64">
        <f>D7</f>
        <v>25</v>
      </c>
      <c r="Q4" s="65" t="s">
        <v>8</v>
      </c>
      <c r="R4" s="49">
        <f>P4+I4</f>
        <v>116.19047619047619</v>
      </c>
      <c r="S4" s="88">
        <v>300</v>
      </c>
      <c r="T4" s="86" t="s">
        <v>7</v>
      </c>
      <c r="U4" s="83">
        <f>1/(1/L4+1/(P4+K4))</f>
        <v>86.50447444179032</v>
      </c>
      <c r="V4" s="23" t="s">
        <v>8</v>
      </c>
      <c r="W4" s="66">
        <f>1/(2*3.1416*SQRT(J4*U4))*1000000</f>
        <v>754.5471310599776</v>
      </c>
      <c r="X4" s="23" t="s">
        <v>7</v>
      </c>
      <c r="Y4" s="63">
        <f>W4-S4-M4</f>
        <v>-0.4528689400224266</v>
      </c>
      <c r="Z4" s="33" t="s">
        <v>7</v>
      </c>
      <c r="AA4" s="19"/>
    </row>
    <row r="5" spans="2:27" ht="12.75">
      <c r="B5" s="12"/>
      <c r="C5" s="93"/>
      <c r="D5" s="72"/>
      <c r="E5" s="26"/>
      <c r="F5" s="14"/>
      <c r="G5" s="109">
        <f>P22</f>
        <v>459.5051187181337</v>
      </c>
      <c r="H5" s="27">
        <f>H4</f>
        <v>2422.284728299095</v>
      </c>
      <c r="I5" s="14">
        <f aca="true" t="shared" si="0" ref="I5:M20">I4</f>
        <v>91.19047619047619</v>
      </c>
      <c r="J5" s="14">
        <f t="shared" si="0"/>
        <v>514.3123060463664</v>
      </c>
      <c r="K5" s="14">
        <f t="shared" si="0"/>
        <v>139.10242767246794</v>
      </c>
      <c r="L5" s="14">
        <f t="shared" si="0"/>
        <v>182.93774087351377</v>
      </c>
      <c r="M5" s="25">
        <f t="shared" si="0"/>
        <v>455</v>
      </c>
      <c r="N5" s="14">
        <f>N4</f>
        <v>1.175551569967327</v>
      </c>
      <c r="O5" s="14"/>
      <c r="P5" s="31">
        <f>N5*P4</f>
        <v>29.388789249183173</v>
      </c>
      <c r="Q5" s="32" t="s">
        <v>8</v>
      </c>
      <c r="R5" s="49">
        <f aca="true" t="shared" si="1" ref="R5:R24">P5+I5</f>
        <v>120.57926543965937</v>
      </c>
      <c r="S5" s="31">
        <f aca="true" t="shared" si="2" ref="S5:S23">1/(6.28*SQRT(H5*(R5)))*1000000</f>
        <v>294.6398222105846</v>
      </c>
      <c r="T5" s="33" t="s">
        <v>7</v>
      </c>
      <c r="U5" s="31">
        <f aca="true" t="shared" si="3" ref="U5:U24">1/(1/L5+1/(P5+K5))</f>
        <v>87.70877270347724</v>
      </c>
      <c r="V5" s="61" t="s">
        <v>8</v>
      </c>
      <c r="W5" s="24">
        <f aca="true" t="shared" si="4" ref="W5:W24">1/(2*3.1416*SQRT(J5*U5))*1000000</f>
        <v>749.3490155825772</v>
      </c>
      <c r="X5" s="33" t="s">
        <v>7</v>
      </c>
      <c r="Y5" s="63">
        <f aca="true" t="shared" si="5" ref="Y5:Y24">W5-S5-M5</f>
        <v>-0.29080662800743085</v>
      </c>
      <c r="Z5" s="33" t="s">
        <v>7</v>
      </c>
      <c r="AA5" s="19"/>
    </row>
    <row r="6" spans="2:27" ht="12.75">
      <c r="B6" s="12"/>
      <c r="C6" s="94" t="s">
        <v>19</v>
      </c>
      <c r="D6" s="73">
        <v>635</v>
      </c>
      <c r="E6" s="47" t="s">
        <v>8</v>
      </c>
      <c r="F6" s="14"/>
      <c r="G6" s="109">
        <f>1/(4*3.1416*3.1416*(S6+D4)*(S6+D4))</f>
        <v>4.581832445588473E-08</v>
      </c>
      <c r="H6" s="27">
        <f aca="true" t="shared" si="6" ref="H6:H24">H5</f>
        <v>2422.284728299095</v>
      </c>
      <c r="I6" s="14">
        <f t="shared" si="0"/>
        <v>91.19047619047619</v>
      </c>
      <c r="J6" s="14">
        <f t="shared" si="0"/>
        <v>514.3123060463664</v>
      </c>
      <c r="K6" s="14">
        <f t="shared" si="0"/>
        <v>139.10242767246794</v>
      </c>
      <c r="L6" s="14">
        <f t="shared" si="0"/>
        <v>182.93774087351377</v>
      </c>
      <c r="M6" s="25">
        <f t="shared" si="0"/>
        <v>455</v>
      </c>
      <c r="N6" s="14">
        <f aca="true" t="shared" si="7" ref="N6:N24">N5</f>
        <v>1.175551569967327</v>
      </c>
      <c r="O6" s="14"/>
      <c r="P6" s="58">
        <f aca="true" t="shared" si="8" ref="P6:P23">N6*P5</f>
        <v>34.548037341316174</v>
      </c>
      <c r="Q6" s="59" t="s">
        <v>8</v>
      </c>
      <c r="R6" s="69">
        <f t="shared" si="1"/>
        <v>125.73851353179236</v>
      </c>
      <c r="S6" s="58">
        <f t="shared" si="2"/>
        <v>288.5317433209425</v>
      </c>
      <c r="T6" s="60" t="s">
        <v>7</v>
      </c>
      <c r="U6" s="58">
        <f t="shared" si="3"/>
        <v>89.08658011335646</v>
      </c>
      <c r="V6" s="112" t="s">
        <v>8</v>
      </c>
      <c r="W6" s="58">
        <f t="shared" si="4"/>
        <v>743.5317433209426</v>
      </c>
      <c r="X6" s="60" t="s">
        <v>7</v>
      </c>
      <c r="Y6" s="67">
        <f t="shared" si="5"/>
        <v>0</v>
      </c>
      <c r="Z6" s="60" t="s">
        <v>7</v>
      </c>
      <c r="AA6" s="19"/>
    </row>
    <row r="7" spans="2:27" ht="12.75">
      <c r="B7" s="12"/>
      <c r="C7" s="95" t="s">
        <v>20</v>
      </c>
      <c r="D7" s="74">
        <v>25</v>
      </c>
      <c r="E7" s="48" t="s">
        <v>8</v>
      </c>
      <c r="F7" s="14"/>
      <c r="G7" s="109">
        <f>1/(4*3.1416*3.1416*(S14+D4)*(S14+D4))</f>
        <v>5.567039797019056E-08</v>
      </c>
      <c r="H7" s="27">
        <f t="shared" si="6"/>
        <v>2422.284728299095</v>
      </c>
      <c r="I7" s="14">
        <f t="shared" si="0"/>
        <v>91.19047619047619</v>
      </c>
      <c r="J7" s="14">
        <f t="shared" si="0"/>
        <v>514.3123060463664</v>
      </c>
      <c r="K7" s="14">
        <f t="shared" si="0"/>
        <v>139.10242767246794</v>
      </c>
      <c r="L7" s="14">
        <f t="shared" si="0"/>
        <v>182.93774087351377</v>
      </c>
      <c r="M7" s="25">
        <f t="shared" si="0"/>
        <v>455</v>
      </c>
      <c r="N7" s="14">
        <f t="shared" si="7"/>
        <v>1.175551569967327</v>
      </c>
      <c r="O7" s="14"/>
      <c r="P7" s="24">
        <f t="shared" si="8"/>
        <v>40.61299953587406</v>
      </c>
      <c r="Q7" s="28" t="s">
        <v>8</v>
      </c>
      <c r="R7" s="49">
        <f t="shared" si="1"/>
        <v>131.80347572635026</v>
      </c>
      <c r="S7" s="31">
        <f t="shared" si="2"/>
        <v>281.81514528762136</v>
      </c>
      <c r="T7" s="25" t="s">
        <v>7</v>
      </c>
      <c r="U7" s="24">
        <f t="shared" si="3"/>
        <v>90.65613414465406</v>
      </c>
      <c r="V7" s="14" t="s">
        <v>8</v>
      </c>
      <c r="W7" s="24">
        <f t="shared" si="4"/>
        <v>737.0671578567886</v>
      </c>
      <c r="X7" s="25" t="s">
        <v>7</v>
      </c>
      <c r="Y7" s="63">
        <f t="shared" si="5"/>
        <v>0.25201256916727743</v>
      </c>
      <c r="Z7" s="33" t="s">
        <v>7</v>
      </c>
      <c r="AA7" s="19"/>
    </row>
    <row r="8" spans="2:27" ht="12.75">
      <c r="B8" s="12"/>
      <c r="F8" s="14"/>
      <c r="G8" s="109">
        <f>1/(4*3.1416*3.1416*(S22+D4)*(S22+D4))</f>
        <v>7.206398371925978E-08</v>
      </c>
      <c r="H8" s="27">
        <f t="shared" si="6"/>
        <v>2422.284728299095</v>
      </c>
      <c r="I8" s="14">
        <f t="shared" si="0"/>
        <v>91.19047619047619</v>
      </c>
      <c r="J8" s="14">
        <f t="shared" si="0"/>
        <v>514.3123060463664</v>
      </c>
      <c r="K8" s="14">
        <f t="shared" si="0"/>
        <v>139.10242767246794</v>
      </c>
      <c r="L8" s="14">
        <f t="shared" si="0"/>
        <v>182.93774087351377</v>
      </c>
      <c r="M8" s="25">
        <f t="shared" si="0"/>
        <v>455</v>
      </c>
      <c r="N8" s="14">
        <f t="shared" si="7"/>
        <v>1.175551569967327</v>
      </c>
      <c r="O8" s="14"/>
      <c r="P8" s="24">
        <f t="shared" si="8"/>
        <v>47.74267536547907</v>
      </c>
      <c r="Q8" s="28" t="s">
        <v>8</v>
      </c>
      <c r="R8" s="49">
        <f t="shared" si="1"/>
        <v>138.93315155595525</v>
      </c>
      <c r="S8" s="31">
        <f t="shared" si="2"/>
        <v>274.48891911272517</v>
      </c>
      <c r="T8" s="25" t="s">
        <v>7</v>
      </c>
      <c r="U8" s="24">
        <f t="shared" si="3"/>
        <v>92.43538905559689</v>
      </c>
      <c r="V8" s="14" t="s">
        <v>8</v>
      </c>
      <c r="W8" s="24">
        <f t="shared" si="4"/>
        <v>729.9389212461468</v>
      </c>
      <c r="X8" s="25" t="s">
        <v>7</v>
      </c>
      <c r="Y8" s="63">
        <f t="shared" si="5"/>
        <v>0.4500021334216626</v>
      </c>
      <c r="Z8" s="33" t="s">
        <v>7</v>
      </c>
      <c r="AA8" s="19"/>
    </row>
    <row r="9" spans="2:27" ht="12.75">
      <c r="B9" s="12"/>
      <c r="C9" s="96" t="s">
        <v>9</v>
      </c>
      <c r="D9" s="75"/>
      <c r="E9" s="29"/>
      <c r="F9" s="14"/>
      <c r="G9" s="109">
        <f>G7/G6</f>
        <v>1.2150247446039129</v>
      </c>
      <c r="H9" s="27">
        <f t="shared" si="6"/>
        <v>2422.284728299095</v>
      </c>
      <c r="I9" s="14">
        <f t="shared" si="0"/>
        <v>91.19047619047619</v>
      </c>
      <c r="J9" s="14">
        <f t="shared" si="0"/>
        <v>514.3123060463664</v>
      </c>
      <c r="K9" s="14">
        <f t="shared" si="0"/>
        <v>139.10242767246794</v>
      </c>
      <c r="L9" s="14">
        <f t="shared" si="0"/>
        <v>182.93774087351377</v>
      </c>
      <c r="M9" s="25">
        <f t="shared" si="0"/>
        <v>455</v>
      </c>
      <c r="N9" s="14">
        <f t="shared" si="7"/>
        <v>1.175551569967327</v>
      </c>
      <c r="O9" s="14"/>
      <c r="P9" s="24">
        <f t="shared" si="8"/>
        <v>56.123976980329346</v>
      </c>
      <c r="Q9" s="28" t="s">
        <v>8</v>
      </c>
      <c r="R9" s="49">
        <f t="shared" si="1"/>
        <v>147.31445317080554</v>
      </c>
      <c r="S9" s="31">
        <f t="shared" si="2"/>
        <v>266.56620043678544</v>
      </c>
      <c r="T9" s="33" t="s">
        <v>7</v>
      </c>
      <c r="U9" s="24">
        <f t="shared" si="3"/>
        <v>94.44120456299663</v>
      </c>
      <c r="V9" s="14" t="s">
        <v>8</v>
      </c>
      <c r="W9" s="24">
        <f t="shared" si="4"/>
        <v>722.1458158623524</v>
      </c>
      <c r="X9" s="25" t="s">
        <v>7</v>
      </c>
      <c r="Y9" s="63">
        <f t="shared" si="5"/>
        <v>0.5796154255669421</v>
      </c>
      <c r="Z9" s="33" t="s">
        <v>7</v>
      </c>
      <c r="AA9" s="19"/>
    </row>
    <row r="10" spans="2:27" ht="12.75">
      <c r="B10" s="12"/>
      <c r="C10" s="97" t="s">
        <v>10</v>
      </c>
      <c r="D10" s="76"/>
      <c r="E10" s="30"/>
      <c r="F10" s="14"/>
      <c r="G10" s="109">
        <f>G8/G6</f>
        <v>1.572820145106903</v>
      </c>
      <c r="H10" s="27">
        <f t="shared" si="6"/>
        <v>2422.284728299095</v>
      </c>
      <c r="I10" s="14">
        <f t="shared" si="0"/>
        <v>91.19047619047619</v>
      </c>
      <c r="J10" s="14">
        <f t="shared" si="0"/>
        <v>514.3123060463664</v>
      </c>
      <c r="K10" s="14">
        <f t="shared" si="0"/>
        <v>139.10242767246794</v>
      </c>
      <c r="L10" s="14">
        <f t="shared" si="0"/>
        <v>182.93774087351377</v>
      </c>
      <c r="M10" s="25">
        <f t="shared" si="0"/>
        <v>455</v>
      </c>
      <c r="N10" s="14">
        <f t="shared" si="7"/>
        <v>1.175551569967327</v>
      </c>
      <c r="O10" s="14"/>
      <c r="P10" s="24">
        <f t="shared" si="8"/>
        <v>65.97662925203628</v>
      </c>
      <c r="Q10" s="28" t="s">
        <v>8</v>
      </c>
      <c r="R10" s="49">
        <f t="shared" si="1"/>
        <v>157.16710544251248</v>
      </c>
      <c r="S10" s="31">
        <f t="shared" si="2"/>
        <v>258.0755926321726</v>
      </c>
      <c r="T10" s="33" t="s">
        <v>7</v>
      </c>
      <c r="U10" s="24">
        <f t="shared" si="3"/>
        <v>96.6883382037724</v>
      </c>
      <c r="V10" s="14" t="s">
        <v>8</v>
      </c>
      <c r="W10" s="24">
        <f t="shared" si="4"/>
        <v>713.7047877072871</v>
      </c>
      <c r="X10" s="25" t="s">
        <v>7</v>
      </c>
      <c r="Y10" s="63">
        <f t="shared" si="5"/>
        <v>0.6291950751145237</v>
      </c>
      <c r="Z10" s="33" t="s">
        <v>7</v>
      </c>
      <c r="AA10" s="19"/>
    </row>
    <row r="11" spans="2:27" ht="12.75">
      <c r="B11" s="12"/>
      <c r="C11" s="98" t="s">
        <v>11</v>
      </c>
      <c r="D11" s="77"/>
      <c r="E11" s="29"/>
      <c r="F11" s="14"/>
      <c r="G11" s="109">
        <f>G8/G7</f>
        <v>1.294475813840012</v>
      </c>
      <c r="H11" s="27">
        <f t="shared" si="6"/>
        <v>2422.284728299095</v>
      </c>
      <c r="I11" s="14">
        <f t="shared" si="0"/>
        <v>91.19047619047619</v>
      </c>
      <c r="J11" s="14">
        <f t="shared" si="0"/>
        <v>514.3123060463664</v>
      </c>
      <c r="K11" s="14">
        <f t="shared" si="0"/>
        <v>139.10242767246794</v>
      </c>
      <c r="L11" s="14">
        <f t="shared" si="0"/>
        <v>182.93774087351377</v>
      </c>
      <c r="M11" s="25">
        <f t="shared" si="0"/>
        <v>455</v>
      </c>
      <c r="N11" s="14">
        <f t="shared" si="7"/>
        <v>1.175551569967327</v>
      </c>
      <c r="O11" s="14"/>
      <c r="P11" s="31">
        <f t="shared" si="8"/>
        <v>77.55893009838351</v>
      </c>
      <c r="Q11" s="32" t="s">
        <v>8</v>
      </c>
      <c r="R11" s="49">
        <f t="shared" si="1"/>
        <v>168.7494062888597</v>
      </c>
      <c r="S11" s="31">
        <f t="shared" si="2"/>
        <v>249.0615198378729</v>
      </c>
      <c r="T11" s="33" t="s">
        <v>7</v>
      </c>
      <c r="U11" s="31">
        <f t="shared" si="3"/>
        <v>99.18826008279484</v>
      </c>
      <c r="V11" s="61" t="s">
        <v>8</v>
      </c>
      <c r="W11" s="24">
        <f t="shared" si="4"/>
        <v>704.653351805715</v>
      </c>
      <c r="X11" s="33" t="s">
        <v>7</v>
      </c>
      <c r="Y11" s="63">
        <f t="shared" si="5"/>
        <v>0.591831967842154</v>
      </c>
      <c r="Z11" s="33" t="s">
        <v>7</v>
      </c>
      <c r="AA11" s="19"/>
    </row>
    <row r="12" spans="2:27" ht="12.75">
      <c r="B12" s="12"/>
      <c r="C12" s="99" t="s">
        <v>12</v>
      </c>
      <c r="D12" s="76">
        <f>1000000000000/(4*3.1416*3.1416*S4*S4*R4)</f>
        <v>2422.284728299095</v>
      </c>
      <c r="E12" s="30" t="s">
        <v>13</v>
      </c>
      <c r="F12" s="14"/>
      <c r="G12" s="109">
        <f>1/(G3+D22)</f>
        <v>0.0057586946278584475</v>
      </c>
      <c r="H12" s="27">
        <f t="shared" si="6"/>
        <v>2422.284728299095</v>
      </c>
      <c r="I12" s="14">
        <f t="shared" si="0"/>
        <v>91.19047619047619</v>
      </c>
      <c r="J12" s="14">
        <f t="shared" si="0"/>
        <v>514.3123060463664</v>
      </c>
      <c r="K12" s="14">
        <f t="shared" si="0"/>
        <v>139.10242767246794</v>
      </c>
      <c r="L12" s="14">
        <f t="shared" si="0"/>
        <v>182.93774087351377</v>
      </c>
      <c r="M12" s="25">
        <f t="shared" si="0"/>
        <v>455</v>
      </c>
      <c r="N12" s="14">
        <f t="shared" si="7"/>
        <v>1.175551569967327</v>
      </c>
      <c r="O12" s="14"/>
      <c r="P12" s="24">
        <f t="shared" si="8"/>
        <v>91.17452204214091</v>
      </c>
      <c r="Q12" s="28" t="s">
        <v>8</v>
      </c>
      <c r="R12" s="49">
        <f t="shared" si="1"/>
        <v>182.3649982326171</v>
      </c>
      <c r="S12" s="31">
        <f t="shared" si="2"/>
        <v>239.58356191282513</v>
      </c>
      <c r="T12" s="25" t="s">
        <v>7</v>
      </c>
      <c r="U12" s="24">
        <f t="shared" si="3"/>
        <v>101.94783950221239</v>
      </c>
      <c r="V12" s="14" t="s">
        <v>8</v>
      </c>
      <c r="W12" s="24">
        <f t="shared" si="4"/>
        <v>695.0509557252473</v>
      </c>
      <c r="X12" s="25" t="s">
        <v>7</v>
      </c>
      <c r="Y12" s="63">
        <f t="shared" si="5"/>
        <v>0.46739381242213085</v>
      </c>
      <c r="Z12" s="33" t="s">
        <v>7</v>
      </c>
      <c r="AA12" s="19"/>
    </row>
    <row r="13" spans="2:27" ht="12.75">
      <c r="B13" s="12"/>
      <c r="C13" s="99" t="s">
        <v>14</v>
      </c>
      <c r="D13" s="78"/>
      <c r="E13" s="30"/>
      <c r="F13" s="14"/>
      <c r="G13" s="109">
        <f>1/(G4+D22)</f>
        <v>0.00377218337077194</v>
      </c>
      <c r="H13" s="27">
        <f t="shared" si="6"/>
        <v>2422.284728299095</v>
      </c>
      <c r="I13" s="14">
        <f t="shared" si="0"/>
        <v>91.19047619047619</v>
      </c>
      <c r="J13" s="14">
        <f t="shared" si="0"/>
        <v>514.3123060463664</v>
      </c>
      <c r="K13" s="14">
        <f t="shared" si="0"/>
        <v>139.10242767246794</v>
      </c>
      <c r="L13" s="14">
        <f t="shared" si="0"/>
        <v>182.93774087351377</v>
      </c>
      <c r="M13" s="25">
        <f t="shared" si="0"/>
        <v>455</v>
      </c>
      <c r="N13" s="14">
        <f t="shared" si="7"/>
        <v>1.175551569967327</v>
      </c>
      <c r="O13" s="14"/>
      <c r="P13" s="24">
        <f t="shared" si="8"/>
        <v>107.1803525276594</v>
      </c>
      <c r="Q13" s="28" t="s">
        <v>8</v>
      </c>
      <c r="R13" s="49">
        <f t="shared" si="1"/>
        <v>198.37082871813558</v>
      </c>
      <c r="S13" s="31">
        <f t="shared" si="2"/>
        <v>229.71473662805636</v>
      </c>
      <c r="T13" s="25" t="s">
        <v>7</v>
      </c>
      <c r="U13" s="24">
        <f t="shared" si="3"/>
        <v>104.9679901444635</v>
      </c>
      <c r="V13" s="14" t="s">
        <v>8</v>
      </c>
      <c r="W13" s="24">
        <f t="shared" si="4"/>
        <v>684.9789371063893</v>
      </c>
      <c r="X13" s="25" t="s">
        <v>7</v>
      </c>
      <c r="Y13" s="63">
        <f t="shared" si="5"/>
        <v>0.2642004783328957</v>
      </c>
      <c r="Z13" s="33" t="s">
        <v>7</v>
      </c>
      <c r="AA13" s="19"/>
    </row>
    <row r="14" spans="2:27" ht="12.75">
      <c r="B14" s="12"/>
      <c r="C14" s="100" t="s">
        <v>18</v>
      </c>
      <c r="D14" s="79">
        <f>(D6-D7*G15)/(G15-1)</f>
        <v>91.19047619047619</v>
      </c>
      <c r="E14" s="34" t="s">
        <v>8</v>
      </c>
      <c r="F14" s="14"/>
      <c r="G14" s="109">
        <f>1/(G5+D22)</f>
        <v>0.0016705435907543385</v>
      </c>
      <c r="H14" s="27">
        <f t="shared" si="6"/>
        <v>2422.284728299095</v>
      </c>
      <c r="I14" s="14">
        <f t="shared" si="0"/>
        <v>91.19047619047619</v>
      </c>
      <c r="J14" s="14">
        <f t="shared" si="0"/>
        <v>514.3123060463664</v>
      </c>
      <c r="K14" s="14">
        <f t="shared" si="0"/>
        <v>139.10242767246794</v>
      </c>
      <c r="L14" s="14">
        <f t="shared" si="0"/>
        <v>182.93774087351377</v>
      </c>
      <c r="M14" s="25">
        <f t="shared" si="0"/>
        <v>455</v>
      </c>
      <c r="N14" s="14">
        <f t="shared" si="7"/>
        <v>1.175551569967327</v>
      </c>
      <c r="O14" s="61"/>
      <c r="P14" s="58">
        <f t="shared" si="8"/>
        <v>125.99603168354156</v>
      </c>
      <c r="Q14" s="59" t="s">
        <v>8</v>
      </c>
      <c r="R14" s="69">
        <f t="shared" si="1"/>
        <v>217.18650787401776</v>
      </c>
      <c r="S14" s="58">
        <f t="shared" si="2"/>
        <v>219.53882704419428</v>
      </c>
      <c r="T14" s="60" t="s">
        <v>7</v>
      </c>
      <c r="U14" s="58">
        <f t="shared" si="3"/>
        <v>108.24239924986696</v>
      </c>
      <c r="V14" s="112" t="s">
        <v>8</v>
      </c>
      <c r="W14" s="58">
        <f t="shared" si="4"/>
        <v>674.5388270441942</v>
      </c>
      <c r="X14" s="60" t="s">
        <v>7</v>
      </c>
      <c r="Y14" s="67">
        <f t="shared" si="5"/>
        <v>0</v>
      </c>
      <c r="Z14" s="60" t="s">
        <v>7</v>
      </c>
      <c r="AA14" s="19"/>
    </row>
    <row r="15" spans="2:27" ht="12.75">
      <c r="B15" s="12"/>
      <c r="D15" s="80"/>
      <c r="E15" s="62"/>
      <c r="F15" s="14"/>
      <c r="G15" s="110">
        <f>POWER(S4/S24,2)</f>
        <v>6.25</v>
      </c>
      <c r="H15" s="27">
        <f t="shared" si="6"/>
        <v>2422.284728299095</v>
      </c>
      <c r="I15" s="14">
        <f t="shared" si="0"/>
        <v>91.19047619047619</v>
      </c>
      <c r="J15" s="14">
        <f t="shared" si="0"/>
        <v>514.3123060463664</v>
      </c>
      <c r="K15" s="14">
        <f t="shared" si="0"/>
        <v>139.10242767246794</v>
      </c>
      <c r="L15" s="14">
        <f t="shared" si="0"/>
        <v>182.93774087351377</v>
      </c>
      <c r="M15" s="25">
        <f t="shared" si="0"/>
        <v>455</v>
      </c>
      <c r="N15" s="14">
        <f t="shared" si="7"/>
        <v>1.175551569967327</v>
      </c>
      <c r="O15" s="14"/>
      <c r="P15" s="24">
        <f t="shared" si="8"/>
        <v>148.11483285524034</v>
      </c>
      <c r="Q15" s="28" t="s">
        <v>8</v>
      </c>
      <c r="R15" s="49">
        <f t="shared" si="1"/>
        <v>239.3053090457165</v>
      </c>
      <c r="S15" s="31">
        <f t="shared" si="2"/>
        <v>209.14697805765226</v>
      </c>
      <c r="T15" s="25" t="s">
        <v>7</v>
      </c>
      <c r="U15" s="24">
        <f t="shared" si="3"/>
        <v>111.75649865304575</v>
      </c>
      <c r="V15" s="14" t="s">
        <v>8</v>
      </c>
      <c r="W15" s="24">
        <f t="shared" si="4"/>
        <v>663.8489378443109</v>
      </c>
      <c r="X15" s="25" t="s">
        <v>7</v>
      </c>
      <c r="Y15" s="63">
        <f t="shared" si="5"/>
        <v>-0.29804021334143727</v>
      </c>
      <c r="Z15" s="33" t="s">
        <v>7</v>
      </c>
      <c r="AA15" s="19"/>
    </row>
    <row r="16" spans="2:27" ht="12.75">
      <c r="B16" s="12"/>
      <c r="C16" s="115" t="s">
        <v>29</v>
      </c>
      <c r="D16" s="116">
        <f>300000/S16</f>
        <v>1510.3163734906464</v>
      </c>
      <c r="E16" s="117" t="s">
        <v>28</v>
      </c>
      <c r="F16" s="14"/>
      <c r="G16" s="109"/>
      <c r="H16" s="27">
        <f t="shared" si="6"/>
        <v>2422.284728299095</v>
      </c>
      <c r="I16" s="14">
        <f t="shared" si="0"/>
        <v>91.19047619047619</v>
      </c>
      <c r="J16" s="14">
        <f t="shared" si="0"/>
        <v>514.3123060463664</v>
      </c>
      <c r="K16" s="14">
        <f t="shared" si="0"/>
        <v>139.10242767246794</v>
      </c>
      <c r="L16" s="14">
        <f t="shared" si="0"/>
        <v>182.93774087351377</v>
      </c>
      <c r="M16" s="25">
        <f t="shared" si="0"/>
        <v>455</v>
      </c>
      <c r="N16" s="14">
        <f t="shared" si="7"/>
        <v>1.175551569967327</v>
      </c>
      <c r="O16" s="14"/>
      <c r="P16" s="24">
        <f t="shared" si="8"/>
        <v>174.116624298426</v>
      </c>
      <c r="Q16" s="28" t="s">
        <v>8</v>
      </c>
      <c r="R16" s="49">
        <f t="shared" si="1"/>
        <v>265.30710048890217</v>
      </c>
      <c r="S16" s="118">
        <f t="shared" si="2"/>
        <v>198.63387914324161</v>
      </c>
      <c r="T16" s="119" t="s">
        <v>7</v>
      </c>
      <c r="U16" s="24">
        <f t="shared" si="3"/>
        <v>115.48685131892954</v>
      </c>
      <c r="V16" s="14" t="s">
        <v>8</v>
      </c>
      <c r="W16" s="24">
        <f t="shared" si="4"/>
        <v>653.0394049563678</v>
      </c>
      <c r="X16" s="25" t="s">
        <v>7</v>
      </c>
      <c r="Y16" s="63">
        <f t="shared" si="5"/>
        <v>-0.5944741868738674</v>
      </c>
      <c r="Z16" s="33" t="s">
        <v>7</v>
      </c>
      <c r="AA16" s="19"/>
    </row>
    <row r="17" spans="2:27" ht="12.75">
      <c r="B17" s="12"/>
      <c r="C17" s="93"/>
      <c r="D17" s="72"/>
      <c r="E17" s="26"/>
      <c r="F17" s="14"/>
      <c r="G17" s="109"/>
      <c r="H17" s="27">
        <f t="shared" si="6"/>
        <v>2422.284728299095</v>
      </c>
      <c r="I17" s="14">
        <f t="shared" si="0"/>
        <v>91.19047619047619</v>
      </c>
      <c r="J17" s="14">
        <f t="shared" si="0"/>
        <v>514.3123060463664</v>
      </c>
      <c r="K17" s="14">
        <f t="shared" si="0"/>
        <v>139.10242767246794</v>
      </c>
      <c r="L17" s="14">
        <f t="shared" si="0"/>
        <v>182.93774087351377</v>
      </c>
      <c r="M17" s="25">
        <f t="shared" si="0"/>
        <v>455</v>
      </c>
      <c r="N17" s="14">
        <f t="shared" si="7"/>
        <v>1.175551569967327</v>
      </c>
      <c r="O17" s="14"/>
      <c r="P17" s="31">
        <f t="shared" si="8"/>
        <v>204.68307105142588</v>
      </c>
      <c r="Q17" s="32" t="s">
        <v>8</v>
      </c>
      <c r="R17" s="49">
        <f t="shared" si="1"/>
        <v>295.8735472419021</v>
      </c>
      <c r="S17" s="31">
        <f t="shared" si="2"/>
        <v>188.09389138270373</v>
      </c>
      <c r="T17" s="33" t="s">
        <v>7</v>
      </c>
      <c r="U17" s="31">
        <f t="shared" si="3"/>
        <v>119.40111571627895</v>
      </c>
      <c r="V17" s="61" t="s">
        <v>8</v>
      </c>
      <c r="W17" s="24">
        <f t="shared" si="4"/>
        <v>642.2460850934426</v>
      </c>
      <c r="X17" s="33" t="s">
        <v>7</v>
      </c>
      <c r="Y17" s="63">
        <f t="shared" si="5"/>
        <v>-0.8478062892611433</v>
      </c>
      <c r="Z17" s="33" t="s">
        <v>7</v>
      </c>
      <c r="AA17" s="19"/>
    </row>
    <row r="18" spans="2:27" ht="13.5" customHeight="1">
      <c r="B18" s="12"/>
      <c r="C18" s="101" t="s">
        <v>15</v>
      </c>
      <c r="D18" s="81"/>
      <c r="E18" s="35"/>
      <c r="F18" s="14"/>
      <c r="G18" s="109"/>
      <c r="H18" s="27">
        <f t="shared" si="6"/>
        <v>2422.284728299095</v>
      </c>
      <c r="I18" s="14">
        <f t="shared" si="0"/>
        <v>91.19047619047619</v>
      </c>
      <c r="J18" s="14">
        <f t="shared" si="0"/>
        <v>514.3123060463664</v>
      </c>
      <c r="K18" s="14">
        <f t="shared" si="0"/>
        <v>139.10242767246794</v>
      </c>
      <c r="L18" s="14">
        <f t="shared" si="0"/>
        <v>182.93774087351377</v>
      </c>
      <c r="M18" s="25">
        <f t="shared" si="0"/>
        <v>455</v>
      </c>
      <c r="N18" s="14">
        <f t="shared" si="7"/>
        <v>1.175551569967327</v>
      </c>
      <c r="O18" s="14"/>
      <c r="P18" s="24">
        <f t="shared" si="8"/>
        <v>240.6155055202376</v>
      </c>
      <c r="Q18" s="28" t="s">
        <v>8</v>
      </c>
      <c r="R18" s="49">
        <f t="shared" si="1"/>
        <v>331.8059817107138</v>
      </c>
      <c r="S18" s="31">
        <f t="shared" si="2"/>
        <v>177.61745998852464</v>
      </c>
      <c r="T18" s="25" t="s">
        <v>7</v>
      </c>
      <c r="U18" s="24">
        <f t="shared" si="3"/>
        <v>123.45870497567937</v>
      </c>
      <c r="V18" s="14" t="s">
        <v>8</v>
      </c>
      <c r="W18" s="24">
        <f t="shared" si="4"/>
        <v>631.6038950078782</v>
      </c>
      <c r="X18" s="25" t="s">
        <v>7</v>
      </c>
      <c r="Y18" s="63">
        <f t="shared" si="5"/>
        <v>-1.013564980646379</v>
      </c>
      <c r="Z18" s="33" t="s">
        <v>7</v>
      </c>
      <c r="AA18" s="19"/>
    </row>
    <row r="19" spans="2:27" ht="12.75">
      <c r="B19" s="12"/>
      <c r="C19" s="102" t="s">
        <v>11</v>
      </c>
      <c r="D19" s="81"/>
      <c r="E19" s="35"/>
      <c r="F19" s="14"/>
      <c r="G19" s="109"/>
      <c r="H19" s="27">
        <f t="shared" si="6"/>
        <v>2422.284728299095</v>
      </c>
      <c r="I19" s="14">
        <f t="shared" si="0"/>
        <v>91.19047619047619</v>
      </c>
      <c r="J19" s="14">
        <f t="shared" si="0"/>
        <v>514.3123060463664</v>
      </c>
      <c r="K19" s="14">
        <f t="shared" si="0"/>
        <v>139.10242767246794</v>
      </c>
      <c r="L19" s="14">
        <f t="shared" si="0"/>
        <v>182.93774087351377</v>
      </c>
      <c r="M19" s="25">
        <f t="shared" si="0"/>
        <v>455</v>
      </c>
      <c r="N19" s="14">
        <f t="shared" si="7"/>
        <v>1.175551569967327</v>
      </c>
      <c r="O19" s="14"/>
      <c r="P19" s="24">
        <f t="shared" si="8"/>
        <v>282.85593527279735</v>
      </c>
      <c r="Q19" s="32" t="s">
        <v>8</v>
      </c>
      <c r="R19" s="49">
        <f t="shared" si="1"/>
        <v>374.04641146327356</v>
      </c>
      <c r="S19" s="31">
        <f t="shared" si="2"/>
        <v>167.2880868302933</v>
      </c>
      <c r="T19" s="33" t="s">
        <v>7</v>
      </c>
      <c r="U19" s="24">
        <f t="shared" si="3"/>
        <v>127.61217864120849</v>
      </c>
      <c r="V19" s="14" t="s">
        <v>8</v>
      </c>
      <c r="W19" s="24">
        <f t="shared" si="4"/>
        <v>621.2402653737329</v>
      </c>
      <c r="X19" s="25" t="s">
        <v>7</v>
      </c>
      <c r="Y19" s="63">
        <f t="shared" si="5"/>
        <v>-1.0478214565604276</v>
      </c>
      <c r="Z19" s="33" t="s">
        <v>7</v>
      </c>
      <c r="AA19" s="19"/>
    </row>
    <row r="20" spans="2:27" ht="12.75">
      <c r="B20" s="12"/>
      <c r="C20" s="104" t="s">
        <v>12</v>
      </c>
      <c r="D20" s="113">
        <f>G6*(G12+1/D24)*1000000000000</f>
        <v>514.3123060463664</v>
      </c>
      <c r="E20" s="114" t="s">
        <v>13</v>
      </c>
      <c r="F20" s="27"/>
      <c r="G20" s="109"/>
      <c r="H20" s="27">
        <f t="shared" si="6"/>
        <v>2422.284728299095</v>
      </c>
      <c r="I20" s="14">
        <f t="shared" si="0"/>
        <v>91.19047619047619</v>
      </c>
      <c r="J20" s="14">
        <f t="shared" si="0"/>
        <v>514.3123060463664</v>
      </c>
      <c r="K20" s="14">
        <f t="shared" si="0"/>
        <v>139.10242767246794</v>
      </c>
      <c r="L20" s="14">
        <f t="shared" si="0"/>
        <v>182.93774087351377</v>
      </c>
      <c r="M20" s="25">
        <f t="shared" si="0"/>
        <v>455</v>
      </c>
      <c r="N20" s="14">
        <f t="shared" si="7"/>
        <v>1.175551569967327</v>
      </c>
      <c r="O20" s="14"/>
      <c r="P20" s="24">
        <f t="shared" si="8"/>
        <v>332.5117387845135</v>
      </c>
      <c r="Q20" s="28" t="s">
        <v>8</v>
      </c>
      <c r="R20" s="49">
        <f t="shared" si="1"/>
        <v>423.7022149749897</v>
      </c>
      <c r="S20" s="31">
        <f t="shared" si="2"/>
        <v>157.18003948423885</v>
      </c>
      <c r="T20" s="33" t="s">
        <v>7</v>
      </c>
      <c r="U20" s="72">
        <f t="shared" si="3"/>
        <v>131.80930222547366</v>
      </c>
      <c r="V20" s="14" t="s">
        <v>8</v>
      </c>
      <c r="W20" s="24">
        <f t="shared" si="4"/>
        <v>611.2693605787948</v>
      </c>
      <c r="X20" s="25" t="s">
        <v>7</v>
      </c>
      <c r="Y20" s="63">
        <f t="shared" si="5"/>
        <v>-0.9106789054440014</v>
      </c>
      <c r="Z20" s="33" t="s">
        <v>7</v>
      </c>
      <c r="AA20" s="19"/>
    </row>
    <row r="21" spans="2:27" ht="12.75">
      <c r="B21" s="12"/>
      <c r="C21" s="104" t="s">
        <v>14</v>
      </c>
      <c r="D21" s="82"/>
      <c r="E21" s="36"/>
      <c r="F21" s="14"/>
      <c r="G21" s="109"/>
      <c r="H21" s="27">
        <f t="shared" si="6"/>
        <v>2422.284728299095</v>
      </c>
      <c r="I21" s="14">
        <f aca="true" t="shared" si="9" ref="I21:M24">I20</f>
        <v>91.19047619047619</v>
      </c>
      <c r="J21" s="14">
        <f t="shared" si="9"/>
        <v>514.3123060463664</v>
      </c>
      <c r="K21" s="14">
        <f t="shared" si="9"/>
        <v>139.10242767246794</v>
      </c>
      <c r="L21" s="14">
        <f t="shared" si="9"/>
        <v>182.93774087351377</v>
      </c>
      <c r="M21" s="25">
        <f t="shared" si="9"/>
        <v>455</v>
      </c>
      <c r="N21" s="14">
        <f t="shared" si="7"/>
        <v>1.175551569967327</v>
      </c>
      <c r="O21" s="14"/>
      <c r="P21" s="24">
        <f t="shared" si="8"/>
        <v>390.88469656070055</v>
      </c>
      <c r="Q21" s="32" t="s">
        <v>8</v>
      </c>
      <c r="R21" s="49">
        <f t="shared" si="1"/>
        <v>482.07517275117675</v>
      </c>
      <c r="S21" s="31">
        <f t="shared" si="2"/>
        <v>147.35686654304754</v>
      </c>
      <c r="T21" s="33" t="s">
        <v>7</v>
      </c>
      <c r="U21" s="24">
        <f t="shared" si="3"/>
        <v>135.99560338628086</v>
      </c>
      <c r="V21" s="14" t="s">
        <v>8</v>
      </c>
      <c r="W21" s="24">
        <f t="shared" si="4"/>
        <v>601.7875851230149</v>
      </c>
      <c r="X21" s="25" t="s">
        <v>7</v>
      </c>
      <c r="Y21" s="63">
        <f t="shared" si="5"/>
        <v>-0.5692814200326666</v>
      </c>
      <c r="Z21" s="33" t="s">
        <v>7</v>
      </c>
      <c r="AA21" s="19"/>
    </row>
    <row r="22" spans="2:27" ht="12.75">
      <c r="B22" s="12"/>
      <c r="C22" s="104" t="s">
        <v>18</v>
      </c>
      <c r="D22" s="113">
        <f>(G4*G5*(1-G11)+G3*G5*(G10-1)+G3*G4*(G11-G10))/(G3*(1-G11)+G4*(G10-1)+G5*(G11-G10))</f>
        <v>139.10242767246794</v>
      </c>
      <c r="E22" s="114" t="s">
        <v>8</v>
      </c>
      <c r="F22" s="27"/>
      <c r="G22" s="109"/>
      <c r="H22" s="27">
        <f t="shared" si="6"/>
        <v>2422.284728299095</v>
      </c>
      <c r="I22" s="14">
        <f t="shared" si="9"/>
        <v>91.19047619047619</v>
      </c>
      <c r="J22" s="14">
        <f t="shared" si="9"/>
        <v>514.3123060463664</v>
      </c>
      <c r="K22" s="14">
        <f t="shared" si="9"/>
        <v>139.10242767246794</v>
      </c>
      <c r="L22" s="14">
        <f t="shared" si="9"/>
        <v>182.93774087351377</v>
      </c>
      <c r="M22" s="25">
        <f t="shared" si="9"/>
        <v>455</v>
      </c>
      <c r="N22" s="14">
        <f t="shared" si="7"/>
        <v>1.175551569967327</v>
      </c>
      <c r="O22" s="14"/>
      <c r="P22" s="58">
        <f t="shared" si="8"/>
        <v>459.5051187181337</v>
      </c>
      <c r="Q22" s="59" t="s">
        <v>8</v>
      </c>
      <c r="R22" s="69">
        <f t="shared" si="1"/>
        <v>550.6955949086099</v>
      </c>
      <c r="S22" s="58">
        <f t="shared" si="2"/>
        <v>137.87069328601106</v>
      </c>
      <c r="T22" s="60" t="s">
        <v>7</v>
      </c>
      <c r="U22" s="58">
        <f t="shared" si="3"/>
        <v>140.11716786096704</v>
      </c>
      <c r="V22" s="112" t="s">
        <v>8</v>
      </c>
      <c r="W22" s="58">
        <f t="shared" si="4"/>
        <v>592.870693286011</v>
      </c>
      <c r="X22" s="60" t="s">
        <v>7</v>
      </c>
      <c r="Y22" s="67">
        <f t="shared" si="5"/>
        <v>0</v>
      </c>
      <c r="Z22" s="60" t="s">
        <v>7</v>
      </c>
      <c r="AA22" s="19"/>
    </row>
    <row r="23" spans="2:27" ht="13.5" thickBot="1">
      <c r="B23" s="12"/>
      <c r="C23" s="104" t="s">
        <v>16</v>
      </c>
      <c r="D23" s="82"/>
      <c r="E23" s="36"/>
      <c r="F23" s="14"/>
      <c r="G23" s="109"/>
      <c r="H23" s="27">
        <f t="shared" si="6"/>
        <v>2422.284728299095</v>
      </c>
      <c r="I23" s="14">
        <f t="shared" si="9"/>
        <v>91.19047619047619</v>
      </c>
      <c r="J23" s="14">
        <f t="shared" si="9"/>
        <v>514.3123060463664</v>
      </c>
      <c r="K23" s="14">
        <f t="shared" si="9"/>
        <v>139.10242767246794</v>
      </c>
      <c r="L23" s="14">
        <f t="shared" si="9"/>
        <v>182.93774087351377</v>
      </c>
      <c r="M23" s="25">
        <f t="shared" si="9"/>
        <v>455</v>
      </c>
      <c r="N23" s="14">
        <f t="shared" si="7"/>
        <v>1.175551569967327</v>
      </c>
      <c r="O23" s="14"/>
      <c r="P23" s="31">
        <f t="shared" si="8"/>
        <v>540.171963717125</v>
      </c>
      <c r="Q23" s="32" t="s">
        <v>8</v>
      </c>
      <c r="R23" s="49">
        <f t="shared" si="1"/>
        <v>631.3624399076011</v>
      </c>
      <c r="S23" s="31">
        <f t="shared" si="2"/>
        <v>128.7622004231953</v>
      </c>
      <c r="T23" s="33" t="s">
        <v>7</v>
      </c>
      <c r="U23" s="31">
        <f t="shared" si="3"/>
        <v>144.1233751465275</v>
      </c>
      <c r="V23" s="61" t="s">
        <v>8</v>
      </c>
      <c r="W23" s="24">
        <f t="shared" si="4"/>
        <v>584.5725875883481</v>
      </c>
      <c r="X23" s="33" t="s">
        <v>7</v>
      </c>
      <c r="Y23" s="63">
        <f t="shared" si="5"/>
        <v>0.8103871651528607</v>
      </c>
      <c r="Z23" s="33" t="s">
        <v>7</v>
      </c>
      <c r="AA23" s="19"/>
    </row>
    <row r="24" spans="2:27" ht="13.5" thickBot="1">
      <c r="B24" s="12"/>
      <c r="C24" s="103" t="s">
        <v>17</v>
      </c>
      <c r="D24" s="106">
        <f>(1-G9)/(G13*G9-G12)</f>
        <v>182.93774087351377</v>
      </c>
      <c r="E24" s="37" t="s">
        <v>8</v>
      </c>
      <c r="F24" s="14"/>
      <c r="G24" s="109"/>
      <c r="H24" s="27">
        <f t="shared" si="6"/>
        <v>2422.284728299095</v>
      </c>
      <c r="I24" s="14">
        <f t="shared" si="9"/>
        <v>91.19047619047619</v>
      </c>
      <c r="J24" s="14">
        <f t="shared" si="9"/>
        <v>514.3123060463664</v>
      </c>
      <c r="K24" s="14">
        <f t="shared" si="9"/>
        <v>139.10242767246794</v>
      </c>
      <c r="L24" s="14">
        <f t="shared" si="9"/>
        <v>182.93774087351377</v>
      </c>
      <c r="M24" s="25">
        <f t="shared" si="9"/>
        <v>455</v>
      </c>
      <c r="N24" s="14">
        <f t="shared" si="7"/>
        <v>1.175551569967327</v>
      </c>
      <c r="O24" s="14"/>
      <c r="P24" s="51">
        <f>D6</f>
        <v>635</v>
      </c>
      <c r="Q24" s="52" t="s">
        <v>8</v>
      </c>
      <c r="R24" s="49">
        <f t="shared" si="1"/>
        <v>726.1904761904761</v>
      </c>
      <c r="S24" s="88">
        <v>120</v>
      </c>
      <c r="T24" s="86" t="s">
        <v>7</v>
      </c>
      <c r="U24" s="87">
        <f t="shared" si="3"/>
        <v>147.96928486110872</v>
      </c>
      <c r="V24" s="38" t="s">
        <v>8</v>
      </c>
      <c r="W24" s="39">
        <f t="shared" si="4"/>
        <v>576.925680110469</v>
      </c>
      <c r="X24" s="38" t="s">
        <v>7</v>
      </c>
      <c r="Y24" s="68">
        <f t="shared" si="5"/>
        <v>1.9256801104689885</v>
      </c>
      <c r="Z24" s="53" t="s">
        <v>7</v>
      </c>
      <c r="AA24" s="19"/>
    </row>
    <row r="25" spans="2:27" ht="6" customHeight="1" thickBot="1">
      <c r="B25" s="40"/>
      <c r="C25" s="105"/>
      <c r="D25" s="44"/>
      <c r="E25" s="42"/>
      <c r="F25" s="43"/>
      <c r="G25" s="111"/>
      <c r="H25" s="43"/>
      <c r="I25" s="43"/>
      <c r="J25" s="43"/>
      <c r="K25" s="43"/>
      <c r="L25" s="43"/>
      <c r="M25" s="43"/>
      <c r="N25" s="43"/>
      <c r="O25" s="43"/>
      <c r="P25" s="44"/>
      <c r="Q25" s="45"/>
      <c r="R25" s="45"/>
      <c r="S25" s="44"/>
      <c r="T25" s="43"/>
      <c r="U25" s="44"/>
      <c r="V25" s="43"/>
      <c r="W25" s="41"/>
      <c r="X25" s="43"/>
      <c r="Y25" s="57"/>
      <c r="Z25" s="43"/>
      <c r="AA25" s="46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thuit-hébert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pierre Genet</cp:lastModifiedBy>
  <dcterms:created xsi:type="dcterms:W3CDTF">2003-11-22T09:13:36Z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